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Summary" sheetId="2" state="visible" r:id="rId4"/>
    <sheet name="Inputs" sheetId="3" state="visible" r:id="rId5"/>
    <sheet name="Mode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<sst xmlns="http://schemas.openxmlformats.org/spreadsheetml/2006/main" count="115" uniqueCount="112">
  <si>
    <t xml:space="preserve">Masarat — 5-Year Financial Model (EGP) | مسارات — النموذج المالي لخمس سنوات</t>
  </si>
  <si>
    <t xml:space="preserve">How to use | طريقة الاستخدام</t>
  </si>
  <si>
    <t xml:space="preserve">1. Edit only the yellow cells with blue numbers on the Inputs sheet.</t>
  </si>
  <si>
    <t xml:space="preserve">١. عدّل الخلايا الصفراء ذات الأرقام الزرقاء في ورقة Inputs فقط.</t>
  </si>
  <si>
    <t xml:space="preserve">2. Pick the scenario in Inputs!C4 (1 = Conservative, 2 = Base, 3 = Optimistic).</t>
  </si>
  <si>
    <t xml:space="preserve">٢. اختر السيناريو في الخلية Inputs!C4 (١ متحفظ، ٢ أساسي، ٣ متفائل).</t>
  </si>
  <si>
    <t xml:space="preserve">3. Read results on the Summary sheet; full detail is on the Model sheet.</t>
  </si>
  <si>
    <t xml:space="preserve">٣. النتائج في ورقة Summary، والتفاصيل الكاملة في ورقة Model.</t>
  </si>
  <si>
    <t xml:space="preserve">Colour code | دليل الألوان</t>
  </si>
  <si>
    <t xml:space="preserve">Blue text = input you can change</t>
  </si>
  <si>
    <t xml:space="preserve">النص الأزرق = مدخل تقدر تغيّره</t>
  </si>
  <si>
    <t xml:space="preserve">Black text = formula (do not overwrite)</t>
  </si>
  <si>
    <t xml:space="preserve">النص الأسود = معادلة (لا تكتب فوقها)</t>
  </si>
  <si>
    <t xml:space="preserve">Green text = link to another sheet</t>
  </si>
  <si>
    <t xml:space="preserve">النص الأخضر = رابط لورقة أخرى</t>
  </si>
  <si>
    <t xml:space="preserve">Important | مهم</t>
  </si>
  <si>
    <t xml:space="preserve">Sample: 4 greenhouses (tomato + cucumber), Egypt — fictional, illustrative assumptions | نموذج: 4 صوب زراعية (طماطم وخيار) في مصر — افتراضات توضيحية</t>
  </si>
  <si>
    <t xml:space="preserve">All results are estimates based on the stated assumptions and are not a guarantee of future performance.</t>
  </si>
  <si>
    <t xml:space="preserve">كل النتائج تقديرات مبنية على الافتراضات المذكورة وليست ضمانًا للأداء المستقبلي.</t>
  </si>
  <si>
    <t xml:space="preserve">Summary | ملخص النتائج</t>
  </si>
  <si>
    <r>
      <rPr>
        <sz val="11"/>
        <color theme="1"/>
        <rFont val="Calibri"/>
        <family val="2"/>
        <charset val="1"/>
      </rPr>
      <t xml:space="preserve">Scenario | </t>
    </r>
    <r>
      <rPr>
        <sz val="11"/>
        <color theme="1"/>
        <rFont val="FreeSans"/>
        <family val="2"/>
      </rPr>
      <t xml:space="preserve">السيناريو</t>
    </r>
  </si>
  <si>
    <t xml:space="preserve">Initial investment | الاستثمار المبدئي</t>
  </si>
  <si>
    <t xml:space="preserve">Year 1 revenue | إيرادات السنة الأولى</t>
  </si>
  <si>
    <t xml:space="preserve">Year 5 revenue | إيرادات السنة الخامسة</t>
  </si>
  <si>
    <t xml:space="preserve">Year 1 net profit | صافي ربح السنة الأولى</t>
  </si>
  <si>
    <t xml:space="preserve">Year 5 net profit | صافي ربح السنة الخامسة</t>
  </si>
  <si>
    <t xml:space="preserve">NPV (project) | صافي القيمة الحالية</t>
  </si>
  <si>
    <t xml:space="preserve">IRR (project) | معدل العائد الداخلي</t>
  </si>
  <si>
    <t xml:space="preserve">IRR (owner, after loan) | معدل العائد للمالك</t>
  </si>
  <si>
    <t xml:space="preserve">Payback period (years) | فترة الاسترداد (سنوات)</t>
  </si>
  <si>
    <t xml:space="preserve">Break-even revenue per year (Y1) | إيراد نقطة التعادل سنويًا</t>
  </si>
  <si>
    <t xml:space="preserve">Break-even customers per day (Y1) | عدد العملاء اليومي للتعادل</t>
  </si>
  <si>
    <t xml:space="preserve">Year 1 customers per day (this scenario) | العملاء يوميًا في هذا السيناريو</t>
  </si>
  <si>
    <t xml:space="preserve">All figures are estimates based on the assumptions in the Inputs sheet. | كل الأرقام تقديرات مبنية على الافتراضات في ورقة المدخلات.</t>
  </si>
  <si>
    <t xml:space="preserve">Inputs | المدخلات</t>
  </si>
  <si>
    <t xml:space="preserve">Currency: EGP | العملة: جنيه</t>
  </si>
  <si>
    <t xml:space="preserve">Active scenario (1 Conservative / 2 Base / 3 Optimistic) | السيناريو</t>
  </si>
  <si>
    <t xml:space="preserve">1, 2 or 3</t>
  </si>
  <si>
    <t xml:space="preserve">Scenario levers | مؤشرات السيناريو</t>
  </si>
  <si>
    <t xml:space="preserve">Conservative</t>
  </si>
  <si>
    <t xml:space="preserve">Base</t>
  </si>
  <si>
    <t xml:space="preserve">Optimistic</t>
  </si>
  <si>
    <t xml:space="preserve">Volume multiplier | معامل حجم المبيعات</t>
  </si>
  <si>
    <t xml:space="preserve">Price multiplier | معامل السعر</t>
  </si>
  <si>
    <r>
      <rPr>
        <sz val="11"/>
        <color theme="1"/>
        <rFont val="Calibri"/>
        <family val="2"/>
        <charset val="1"/>
      </rPr>
      <t xml:space="preserve">Selected volume multiplier | </t>
    </r>
    <r>
      <rPr>
        <sz val="11"/>
        <color theme="1"/>
        <rFont val="FreeSans"/>
        <family val="2"/>
      </rPr>
      <t xml:space="preserve">المعامل المختار 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FreeSans"/>
        <family val="2"/>
      </rPr>
      <t xml:space="preserve">حجم</t>
    </r>
    <r>
      <rPr>
        <sz val="11"/>
        <color theme="1"/>
        <rFont val="Calibri"/>
        <family val="2"/>
        <charset val="1"/>
      </rPr>
      <t xml:space="preserve">)</t>
    </r>
  </si>
  <si>
    <r>
      <rPr>
        <sz val="11"/>
        <color theme="1"/>
        <rFont val="Calibri"/>
        <family val="2"/>
        <charset val="1"/>
      </rPr>
      <t xml:space="preserve">Selected price multiplier | </t>
    </r>
    <r>
      <rPr>
        <sz val="11"/>
        <color theme="1"/>
        <rFont val="FreeSans"/>
        <family val="2"/>
      </rPr>
      <t xml:space="preserve">المعامل المختار 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FreeSans"/>
        <family val="2"/>
      </rPr>
      <t xml:space="preserve">سعر</t>
    </r>
    <r>
      <rPr>
        <sz val="11"/>
        <color theme="1"/>
        <rFont val="Calibri"/>
        <family val="2"/>
        <charset val="1"/>
      </rPr>
      <t xml:space="preserve">)</t>
    </r>
  </si>
  <si>
    <t xml:space="preserve">Revenue | الإيرادات</t>
  </si>
  <si>
    <t xml:space="preserve">Kilograms sold per day (annual output ÷ 365) | الكيلوجرامات المباعة يوميًا (الإنتاج السنوي ÷ 365)</t>
  </si>
  <si>
    <t xml:space="preserve">Example: cups sold per day</t>
  </si>
  <si>
    <t xml:space="preserve">Average ticket / price per unit | متوسط سعر البيع للوحدة</t>
  </si>
  <si>
    <t xml:space="preserve">Operating days per year | أيام التشغيل في السنة</t>
  </si>
  <si>
    <t xml:space="preserve">Annual volume growth (years 2–5) | نمو الحجم السنوي</t>
  </si>
  <si>
    <t xml:space="preserve">Annual price increase | زيادة السعر السنوية</t>
  </si>
  <si>
    <t xml:space="preserve">Costs | التكاليف</t>
  </si>
  <si>
    <t xml:space="preserve">Direct cost as % of revenue | التكلفة المباشرة كنسبة من الإيرادات</t>
  </si>
  <si>
    <t xml:space="preserve">Materials, packaging, card fees</t>
  </si>
  <si>
    <t xml:space="preserve">Rent (monthly) | الإيجار الشهري</t>
  </si>
  <si>
    <t xml:space="preserve">Salaries (monthly) | الرواتب الشهرية</t>
  </si>
  <si>
    <t xml:space="preserve">Utilities (monthly) | المرافق الشهرية</t>
  </si>
  <si>
    <t xml:space="preserve">Marketing (monthly) | التسويق الشهري</t>
  </si>
  <si>
    <t xml:space="preserve">Other fixed (monthly) | مصروفات ثابتة أخرى</t>
  </si>
  <si>
    <t xml:space="preserve">Total fixed costs per year | إجمالي التكاليف الثابتة سنويًا</t>
  </si>
  <si>
    <t xml:space="preserve">Annual fixed-cost inflation | زيادة التكاليف الثابتة سنويًا</t>
  </si>
  <si>
    <t xml:space="preserve">Investment &amp; financing | الاستثمار والتمويل</t>
  </si>
  <si>
    <t xml:space="preserve">Fit-out &amp; renovation | التجهيز والديكور</t>
  </si>
  <si>
    <t xml:space="preserve">Equipment | المعدات</t>
  </si>
  <si>
    <t xml:space="preserve">Licences &amp; set-up | التراخيص والتأسيس</t>
  </si>
  <si>
    <t xml:space="preserve">Opening inventory &amp; pre-opening | المخزون الافتتاحي وما قبل التشغيل</t>
  </si>
  <si>
    <t xml:space="preserve">Total initial investment | إجمالي الاستثمار المبدئي</t>
  </si>
  <si>
    <t xml:space="preserve">Working capital as % of revenue | رأس المال العامل كنسبة من الإيرادات</t>
  </si>
  <si>
    <t xml:space="preserve">Depreciation period (years) | فترة الإهلاك (سنوات)</t>
  </si>
  <si>
    <t xml:space="preserve">Share financed by loan | نسبة التمويل بالقرض</t>
  </si>
  <si>
    <t xml:space="preserve">Loan interest rate | سعر فائدة القرض</t>
  </si>
  <si>
    <t xml:space="preserve">Loan term (years, max 5) | مدة القرض (سنوات)</t>
  </si>
  <si>
    <t xml:space="preserve">Tax &amp; valuation | الضرائب والتقييم</t>
  </si>
  <si>
    <t xml:space="preserve">Income tax rate | نسبة ضريبة الدخل</t>
  </si>
  <si>
    <t xml:space="preserve">Set to the client country rate</t>
  </si>
  <si>
    <t xml:space="preserve">Discount rate for NPV | معدل الخصم لصافي القيمة الحالية</t>
  </si>
  <si>
    <t xml:space="preserve">Model | النموذج</t>
  </si>
  <si>
    <t xml:space="preserve">Line item | البند</t>
  </si>
  <si>
    <t xml:space="preserve">Year 0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</si>
  <si>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</si>
  <si>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</si>
  <si>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</si>
  <si>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</si>
  <si>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</si>
  <si>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Units sold | الوحدات المباعة</t>
  </si>
  <si>
    <t xml:space="preserve">Average price | متوسط السعر</t>
  </si>
  <si>
    <t xml:space="preserve">Direct costs | التكاليف المباشرة</t>
  </si>
  <si>
    <t xml:space="preserve">Gross profit | مجمل الربح</t>
  </si>
  <si>
    <t xml:space="preserve">Fixed operating costs | التكاليف التشغيلية الثابتة</t>
  </si>
  <si>
    <t xml:space="preserve">EBITDA | الربح قبل الفوائد والضرائب والإهلاك</t>
  </si>
  <si>
    <t xml:space="preserve">Depreciation | الإهلاك</t>
  </si>
  <si>
    <t xml:space="preserve">EBIT | الربح التشغيلي</t>
  </si>
  <si>
    <t xml:space="preserve">Loan schedule | جدول القرض</t>
  </si>
  <si>
    <t xml:space="preserve">Opening balance | الرصيد أول المدة</t>
  </si>
  <si>
    <t xml:space="preserve">Principal repayment | سداد الأصل</t>
  </si>
  <si>
    <t xml:space="preserve">Interest | الفوائد</t>
  </si>
  <si>
    <t xml:space="preserve">Closing balance | الرصيد آخر المدة</t>
  </si>
  <si>
    <t xml:space="preserve">Profit before tax | الربح قبل الضريبة</t>
  </si>
  <si>
    <t xml:space="preserve">Income tax | ضريبة الدخل</t>
  </si>
  <si>
    <t xml:space="preserve">Net profit | صافي الربح</t>
  </si>
  <si>
    <t xml:space="preserve">Net margin | هامش صافي الربح</t>
  </si>
  <si>
    <t xml:space="preserve">Project cash flow (unlevered) | التدفق النقدي للمشروع</t>
  </si>
  <si>
    <t xml:space="preserve">Tax on EBIT | الضريبة على الربح التشغيلي</t>
  </si>
  <si>
    <t xml:space="preserve">Working capital change | التغير في رأس المال العامل</t>
  </si>
  <si>
    <t xml:space="preserve">Free cash flow | التدفق النقدي الحر</t>
  </si>
  <si>
    <t xml:space="preserve">Cumulative cash flow | التدفق النقدي التراكمي</t>
  </si>
  <si>
    <t xml:space="preserve">Owner cash flow (after loan) | التدفق النقدي للمالك</t>
  </si>
  <si>
    <t xml:space="preserve">Net profit + depreciation | صافي الربح + الإهلاك</t>
  </si>
  <si>
    <t xml:space="preserve">Loan principal repaid | سداد أصل القرض</t>
  </si>
  <si>
    <t xml:space="preserve">Owner cash flow | التدفق النقدي للمالك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</si>
</sst>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\(#,##0\);\-"/>
    <numFmt numFmtId="166" formatCode="0.0%;\(0.0%\);\-"/>
    <numFmt numFmtId="167" formatCode="0.0"/>
    <numFmt numFmtId="168" formatCode="0"/>
    <numFmt numFmtId="169" formatCode="0.00\x"/>
    <numFmt numFmtId="170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theme="1"/>
      <name val="FreeSans"/>
      <family val="2"/>
    </font>
    <font>
      <sz val="11"/>
      <color rgb="FF008000"/>
      <name val="Arial"/>
      <family val="0"/>
      <charset val="1"/>
    </font>
    <font>
      <i val="true"/>
      <sz val="11"/>
      <color rgb="FF5B6170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color rgb="FF5B617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F3A8F"/>
        <bgColor rgb="FF003366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1A1F2B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170"/>
      <rgbColor rgb="FF969696"/>
      <rgbColor rgb="FF003366"/>
      <rgbColor rgb="FF339966"/>
      <rgbColor rgb="FF003300"/>
      <rgbColor rgb="FF333300"/>
      <rgbColor rgb="FF993300"/>
      <rgbColor rgb="FF993366"/>
      <rgbColor rgb="FF2F3A8F"/>
      <rgbColor rgb="FF1A1F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0"/>
    <col collapsed="false" customWidth="true" hidden="false" outlineLevel="0" max="2" min="2" style="1" width="2"/>
    <col collapsed="false" customWidth="true" hidden="false" outlineLevel="0" max="3" min="3" style="1" width="70"/>
  </cols>
  <sheetData>
    <row r="1" customFormat="false" ht="16.5" hidden="false" customHeight="true" outlineLevel="0" collapsed="false">
      <c r="A1" s="2" t="s">
        <v>0</v>
      </c>
      <c r="B1" s="2"/>
      <c r="C1" s="2"/>
      <c r="D1" s="2"/>
    </row>
    <row r="3" customFormat="false" ht="15" hidden="false" customHeight="true" outlineLevel="0" collapsed="false">
      <c r="A3" s="3" t="s">
        <v>1</v>
      </c>
      <c r="C3" s="4"/>
    </row>
    <row r="4" customFormat="false" ht="15" hidden="false" customHeight="true" outlineLevel="0" collapsed="false">
      <c r="A4" s="5" t="s">
        <v>2</v>
      </c>
      <c r="C4" s="4" t="s">
        <v>3</v>
      </c>
    </row>
    <row r="5" customFormat="false" ht="26.25" hidden="false" customHeight="true" outlineLevel="0" collapsed="false">
      <c r="A5" s="5" t="s">
        <v>4</v>
      </c>
      <c r="C5" s="4" t="s">
        <v>5</v>
      </c>
    </row>
    <row r="6" customFormat="false" ht="15" hidden="false" customHeight="true" outlineLevel="0" collapsed="false">
      <c r="A6" s="5" t="s">
        <v>6</v>
      </c>
      <c r="C6" s="4" t="s">
        <v>7</v>
      </c>
    </row>
    <row r="7" customFormat="false" ht="15" hidden="false" customHeight="true" outlineLevel="0" collapsed="false">
      <c r="A7" s="3" t="s">
        <v>8</v>
      </c>
      <c r="C7" s="4"/>
    </row>
    <row r="8" customFormat="false" ht="15" hidden="false" customHeight="true" outlineLevel="0" collapsed="false">
      <c r="A8" s="5" t="s">
        <v>9</v>
      </c>
      <c r="C8" s="4" t="s">
        <v>10</v>
      </c>
    </row>
    <row r="9" customFormat="false" ht="15" hidden="false" customHeight="true" outlineLevel="0" collapsed="false">
      <c r="A9" s="5" t="s">
        <v>11</v>
      </c>
      <c r="C9" s="4" t="s">
        <v>12</v>
      </c>
    </row>
    <row r="10" customFormat="false" ht="15" hidden="false" customHeight="true" outlineLevel="0" collapsed="false">
      <c r="A10" s="5" t="s">
        <v>13</v>
      </c>
      <c r="C10" s="4" t="s">
        <v>14</v>
      </c>
    </row>
    <row r="11" customFormat="false" ht="15" hidden="false" customHeight="true" outlineLevel="0" collapsed="false">
      <c r="A11" s="3" t="s">
        <v>15</v>
      </c>
      <c r="C11" s="4"/>
    </row>
    <row r="12" customFormat="false" ht="26.25" hidden="false" customHeight="true" outlineLevel="0" collapsed="false">
      <c r="A12" s="5" t="s">
        <v>16</v>
      </c>
      <c r="C12" s="4"/>
    </row>
    <row r="13" customFormat="false" ht="26.25" hidden="false" customHeight="true" outlineLevel="0" collapsed="false">
      <c r="A13" s="5" t="s">
        <v>17</v>
      </c>
      <c r="C13" s="4" t="s">
        <v>18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2"/>
    <col collapsed="false" customWidth="true" hidden="false" outlineLevel="0" max="2" min="2" style="1" width="2"/>
    <col collapsed="false" customWidth="true" hidden="false" outlineLevel="0" max="3" min="3" style="1" width="18"/>
  </cols>
  <sheetData>
    <row r="1" customFormat="false" ht="16.5" hidden="false" customHeight="true" outlineLevel="0" collapsed="false">
      <c r="A1" s="2" t="s">
        <v>19</v>
      </c>
      <c r="B1" s="2"/>
      <c r="C1" s="2"/>
      <c r="D1" s="2"/>
    </row>
    <row r="3" customFormat="false" ht="15" hidden="false" customHeight="true" outlineLevel="0" collapsed="false">
      <c r="A3" s="1" t="s">
        <v>20</v>
      </c>
      <c r="C3" s="6" t="str">
        <f aca="false">INDEX(Inputs!C7:E7,1,Inputs!$C$4)</f>
        <v>Base</v>
      </c>
    </row>
    <row r="5" customFormat="false" ht="15" hidden="false" customHeight="true" outlineLevel="0" collapsed="false">
      <c r="A5" s="7" t="s">
        <v>21</v>
      </c>
      <c r="C5" s="8" t="n">
        <f aca="false">Inputs!$C$35</f>
        <v>900000</v>
      </c>
    </row>
    <row r="6" customFormat="false" ht="15" hidden="false" customHeight="true" outlineLevel="0" collapsed="false">
      <c r="A6" s="7" t="s">
        <v>22</v>
      </c>
      <c r="C6" s="8" t="n">
        <f aca="false">Model!D7</f>
        <v>839865</v>
      </c>
    </row>
    <row r="7" customFormat="false" ht="15" hidden="false" customHeight="true" outlineLevel="0" collapsed="false">
      <c r="A7" s="7" t="s">
        <v>23</v>
      </c>
      <c r="C7" s="8" t="n">
        <f aca="false">Model!H7</f>
        <v>1286036.8230138</v>
      </c>
    </row>
    <row r="8" customFormat="false" ht="15" hidden="false" customHeight="true" outlineLevel="0" collapsed="false">
      <c r="A8" s="7" t="s">
        <v>24</v>
      </c>
      <c r="C8" s="8" t="n">
        <f aca="false">Model!D23</f>
        <v>124549.90125</v>
      </c>
    </row>
    <row r="9" customFormat="false" ht="15" hidden="false" customHeight="true" outlineLevel="0" collapsed="false">
      <c r="A9" s="7" t="s">
        <v>25</v>
      </c>
      <c r="C9" s="8" t="n">
        <f aca="false">Model!H23</f>
        <v>257550.614461914</v>
      </c>
    </row>
    <row r="10" customFormat="false" ht="15" hidden="false" customHeight="true" outlineLevel="0" collapsed="false">
      <c r="A10" s="7" t="s">
        <v>26</v>
      </c>
      <c r="C10" s="9" t="n">
        <f aca="false">NPV(Inputs!$C$44,Model!D31:H31)+Model!C31</f>
        <v>70460.0932172245</v>
      </c>
    </row>
    <row r="11" customFormat="false" ht="15" hidden="false" customHeight="true" outlineLevel="0" collapsed="false">
      <c r="A11" s="7" t="s">
        <v>27</v>
      </c>
      <c r="C11" s="10" t="n">
        <f aca="false">IFERROR(IRR(Model!C31:H31),"n/a")</f>
        <v>0.253107446550746</v>
      </c>
    </row>
    <row r="12" customFormat="false" ht="15" hidden="false" customHeight="true" outlineLevel="0" collapsed="false">
      <c r="A12" s="7" t="s">
        <v>28</v>
      </c>
      <c r="C12" s="10" t="n">
        <f aca="false">IFERROR(IRR(Model!C37:H37),"n/a")</f>
        <v>0.253107446550746</v>
      </c>
    </row>
    <row r="13" customFormat="false" ht="15" hidden="false" customHeight="true" outlineLevel="0" collapsed="false">
      <c r="A13" s="7" t="s">
        <v>29</v>
      </c>
      <c r="C13" s="11" t="n">
        <f aca="false">IF(Model!H32&lt;0,"&gt; 5",SUMPRODUCT(--(Model!D32:H32&lt;0))+IFERROR(-INDEX(Model!C32:H32,1,SUMPRODUCT(--(Model!D32:H32&lt;0))+1)/INDEX(Model!D31:H31,1,SUMPRODUCT(--(Model!D32:H32&lt;0))+1),0))</f>
        <v>2.86121886585414</v>
      </c>
    </row>
    <row r="14" customFormat="false" ht="15" hidden="false" customHeight="true" outlineLevel="0" collapsed="false">
      <c r="A14" s="7" t="s">
        <v>30</v>
      </c>
      <c r="C14" s="9" t="n">
        <f aca="false">IF(1-Inputs!$C$21&lt;=0,"n/a",-Model!D10/(1-Inputs!$C$21))</f>
        <v>331343.28358209</v>
      </c>
    </row>
    <row r="15" customFormat="false" ht="15" hidden="false" customHeight="true" outlineLevel="0" collapsed="false">
      <c r="A15" s="7" t="s">
        <v>31</v>
      </c>
      <c r="C15" s="9" t="n">
        <f aca="false">IFERROR(C14/(Model!D6*Inputs!$C$16),"n/a")</f>
        <v>60.5193212022082</v>
      </c>
    </row>
    <row r="16" customFormat="false" ht="15" hidden="false" customHeight="true" outlineLevel="0" collapsed="false">
      <c r="A16" s="7" t="s">
        <v>32</v>
      </c>
      <c r="C16" s="9" t="n">
        <f aca="false">Model!D5/Inputs!$C$16</f>
        <v>153.4</v>
      </c>
    </row>
    <row r="18" customFormat="false" ht="15" hidden="false" customHeight="true" outlineLevel="0" collapsed="false">
      <c r="A18" s="12" t="s">
        <v>33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2"/>
    <col collapsed="false" customWidth="true" hidden="false" outlineLevel="0" max="2" min="2" style="1" width="2"/>
    <col collapsed="false" customWidth="true" hidden="false" outlineLevel="0" max="5" min="3" style="1" width="15"/>
  </cols>
  <sheetData>
    <row r="1" customFormat="false" ht="16.5" hidden="false" customHeight="true" outlineLevel="0" collapsed="false">
      <c r="A1" s="2" t="s">
        <v>34</v>
      </c>
      <c r="B1" s="2"/>
      <c r="C1" s="2"/>
      <c r="D1" s="2"/>
      <c r="E1" s="2"/>
    </row>
    <row r="2" customFormat="false" ht="15" hidden="false" customHeight="true" outlineLevel="0" collapsed="false">
      <c r="A2" s="12" t="s">
        <v>35</v>
      </c>
    </row>
    <row r="4" customFormat="false" ht="15" hidden="false" customHeight="true" outlineLevel="0" collapsed="false">
      <c r="A4" s="7" t="s">
        <v>36</v>
      </c>
      <c r="C4" s="13" t="n">
        <v>2</v>
      </c>
      <c r="D4" s="14" t="s">
        <v>37</v>
      </c>
    </row>
    <row r="6" customFormat="false" ht="15" hidden="false" customHeight="true" outlineLevel="0" collapsed="false">
      <c r="A6" s="15" t="s">
        <v>38</v>
      </c>
      <c r="B6" s="16"/>
      <c r="C6" s="16"/>
      <c r="D6" s="16"/>
      <c r="E6" s="16"/>
    </row>
    <row r="7" customFormat="false" ht="15" hidden="false" customHeight="true" outlineLevel="0" collapsed="false">
      <c r="C7" s="17" t="s">
        <v>39</v>
      </c>
      <c r="D7" s="17" t="s">
        <v>40</v>
      </c>
      <c r="E7" s="17" t="s">
        <v>41</v>
      </c>
    </row>
    <row r="8" customFormat="false" ht="15" hidden="false" customHeight="true" outlineLevel="0" collapsed="false">
      <c r="A8" s="7" t="s">
        <v>42</v>
      </c>
      <c r="C8" s="18" t="n">
        <v>0.8</v>
      </c>
      <c r="D8" s="18" t="n">
        <v>1</v>
      </c>
      <c r="E8" s="18" t="n">
        <v>1.2</v>
      </c>
    </row>
    <row r="9" customFormat="false" ht="15" hidden="false" customHeight="true" outlineLevel="0" collapsed="false">
      <c r="A9" s="7" t="s">
        <v>43</v>
      </c>
      <c r="C9" s="18" t="n">
        <v>0.95</v>
      </c>
      <c r="D9" s="18" t="n">
        <v>1</v>
      </c>
      <c r="E9" s="18" t="n">
        <v>1.05</v>
      </c>
    </row>
    <row r="10" customFormat="false" ht="15" hidden="false" customHeight="true" outlineLevel="0" collapsed="false">
      <c r="A10" s="1" t="s">
        <v>44</v>
      </c>
      <c r="C10" s="19" t="n">
        <f aca="false">INDEX(C8:E8,1,$C$4)</f>
        <v>1</v>
      </c>
    </row>
    <row r="11" customFormat="false" ht="15" hidden="false" customHeight="true" outlineLevel="0" collapsed="false">
      <c r="A11" s="1" t="s">
        <v>45</v>
      </c>
      <c r="C11" s="19" t="n">
        <f aca="false">INDEX(C9:E9,1,$C$4)</f>
        <v>1</v>
      </c>
    </row>
    <row r="13" customFormat="false" ht="15" hidden="false" customHeight="true" outlineLevel="0" collapsed="false">
      <c r="A13" s="15" t="s">
        <v>46</v>
      </c>
      <c r="B13" s="16"/>
      <c r="C13" s="16"/>
      <c r="D13" s="16"/>
      <c r="E13" s="16"/>
    </row>
    <row r="14" customFormat="false" ht="15" hidden="false" customHeight="true" outlineLevel="0" collapsed="false">
      <c r="A14" s="7" t="s">
        <v>47</v>
      </c>
      <c r="C14" s="20" t="n">
        <v>153.4</v>
      </c>
      <c r="D14" s="14" t="s">
        <v>48</v>
      </c>
    </row>
    <row r="15" customFormat="false" ht="15" hidden="false" customHeight="true" outlineLevel="0" collapsed="false">
      <c r="A15" s="7" t="s">
        <v>49</v>
      </c>
      <c r="C15" s="21" t="n">
        <v>15</v>
      </c>
    </row>
    <row r="16" customFormat="false" ht="15" hidden="false" customHeight="true" outlineLevel="0" collapsed="false">
      <c r="A16" s="7" t="s">
        <v>50</v>
      </c>
      <c r="C16" s="20" t="n">
        <v>365</v>
      </c>
    </row>
    <row r="17" customFormat="false" ht="15" hidden="false" customHeight="true" outlineLevel="0" collapsed="false">
      <c r="A17" s="7" t="s">
        <v>51</v>
      </c>
      <c r="C17" s="22" t="n">
        <v>0.03</v>
      </c>
    </row>
    <row r="18" customFormat="false" ht="15" hidden="false" customHeight="true" outlineLevel="0" collapsed="false">
      <c r="A18" s="7" t="s">
        <v>52</v>
      </c>
      <c r="C18" s="22" t="n">
        <v>0.08</v>
      </c>
    </row>
    <row r="20" customFormat="false" ht="15" hidden="false" customHeight="true" outlineLevel="0" collapsed="false">
      <c r="A20" s="15" t="s">
        <v>53</v>
      </c>
      <c r="B20" s="16"/>
      <c r="C20" s="16"/>
      <c r="D20" s="16"/>
      <c r="E20" s="16"/>
    </row>
    <row r="21" customFormat="false" ht="15" hidden="false" customHeight="true" outlineLevel="0" collapsed="false">
      <c r="A21" s="7" t="s">
        <v>54</v>
      </c>
      <c r="C21" s="22" t="n">
        <v>0.33</v>
      </c>
      <c r="D21" s="14" t="s">
        <v>55</v>
      </c>
    </row>
    <row r="22" customFormat="false" ht="15" hidden="false" customHeight="true" outlineLevel="0" collapsed="false">
      <c r="A22" s="7" t="s">
        <v>56</v>
      </c>
      <c r="C22" s="20" t="n">
        <v>2500</v>
      </c>
    </row>
    <row r="23" customFormat="false" ht="15" hidden="false" customHeight="true" outlineLevel="0" collapsed="false">
      <c r="A23" s="7" t="s">
        <v>57</v>
      </c>
      <c r="C23" s="20" t="n">
        <v>12000</v>
      </c>
    </row>
    <row r="24" customFormat="false" ht="15" hidden="false" customHeight="true" outlineLevel="0" collapsed="false">
      <c r="A24" s="7" t="s">
        <v>58</v>
      </c>
      <c r="C24" s="20" t="n">
        <v>2000</v>
      </c>
    </row>
    <row r="25" customFormat="false" ht="15" hidden="false" customHeight="true" outlineLevel="0" collapsed="false">
      <c r="A25" s="7" t="s">
        <v>59</v>
      </c>
      <c r="C25" s="20" t="n">
        <v>1000</v>
      </c>
    </row>
    <row r="26" customFormat="false" ht="15" hidden="false" customHeight="true" outlineLevel="0" collapsed="false">
      <c r="A26" s="7" t="s">
        <v>60</v>
      </c>
      <c r="C26" s="20" t="n">
        <v>1000</v>
      </c>
    </row>
    <row r="27" customFormat="false" ht="15" hidden="false" customHeight="true" outlineLevel="0" collapsed="false">
      <c r="A27" s="17" t="s">
        <v>61</v>
      </c>
      <c r="C27" s="9" t="n">
        <f aca="false">SUM(C22:C26)*12</f>
        <v>222000</v>
      </c>
    </row>
    <row r="28" customFormat="false" ht="15" hidden="false" customHeight="true" outlineLevel="0" collapsed="false">
      <c r="A28" s="7" t="s">
        <v>62</v>
      </c>
      <c r="C28" s="22" t="n">
        <v>0.12</v>
      </c>
    </row>
    <row r="30" customFormat="false" ht="15" hidden="false" customHeight="true" outlineLevel="0" collapsed="false">
      <c r="A30" s="15" t="s">
        <v>63</v>
      </c>
      <c r="B30" s="16"/>
      <c r="C30" s="16"/>
      <c r="D30" s="16"/>
      <c r="E30" s="16"/>
    </row>
    <row r="31" customFormat="false" ht="15" hidden="false" customHeight="true" outlineLevel="0" collapsed="false">
      <c r="A31" s="7" t="s">
        <v>64</v>
      </c>
      <c r="C31" s="20" t="n">
        <v>640000</v>
      </c>
    </row>
    <row r="32" customFormat="false" ht="15" hidden="false" customHeight="true" outlineLevel="0" collapsed="false">
      <c r="A32" s="7" t="s">
        <v>65</v>
      </c>
      <c r="C32" s="20" t="n">
        <v>140000</v>
      </c>
    </row>
    <row r="33" customFormat="false" ht="15" hidden="false" customHeight="true" outlineLevel="0" collapsed="false">
      <c r="A33" s="7" t="s">
        <v>66</v>
      </c>
      <c r="C33" s="20" t="n">
        <v>60000</v>
      </c>
    </row>
    <row r="34" customFormat="false" ht="15" hidden="false" customHeight="true" outlineLevel="0" collapsed="false">
      <c r="A34" s="7" t="s">
        <v>67</v>
      </c>
      <c r="C34" s="20" t="n">
        <v>60000</v>
      </c>
    </row>
    <row r="35" customFormat="false" ht="15" hidden="false" customHeight="true" outlineLevel="0" collapsed="false">
      <c r="A35" s="17" t="s">
        <v>68</v>
      </c>
      <c r="C35" s="9" t="n">
        <f aca="false">SUM(C31:C34)</f>
        <v>900000</v>
      </c>
    </row>
    <row r="36" customFormat="false" ht="15" hidden="false" customHeight="true" outlineLevel="0" collapsed="false">
      <c r="A36" s="7" t="s">
        <v>69</v>
      </c>
      <c r="C36" s="22" t="n">
        <v>0.05</v>
      </c>
    </row>
    <row r="37" customFormat="false" ht="15" hidden="false" customHeight="true" outlineLevel="0" collapsed="false">
      <c r="A37" s="7" t="s">
        <v>70</v>
      </c>
      <c r="C37" s="13" t="n">
        <v>5</v>
      </c>
    </row>
    <row r="38" customFormat="false" ht="15" hidden="false" customHeight="true" outlineLevel="0" collapsed="false">
      <c r="A38" s="7" t="s">
        <v>71</v>
      </c>
      <c r="C38" s="22" t="n">
        <v>0</v>
      </c>
    </row>
    <row r="39" customFormat="false" ht="15" hidden="false" customHeight="true" outlineLevel="0" collapsed="false">
      <c r="A39" s="7" t="s">
        <v>72</v>
      </c>
      <c r="C39" s="22" t="n">
        <v>0</v>
      </c>
    </row>
    <row r="40" customFormat="false" ht="15" hidden="false" customHeight="true" outlineLevel="0" collapsed="false">
      <c r="A40" s="7" t="s">
        <v>73</v>
      </c>
      <c r="C40" s="13" t="n">
        <v>5</v>
      </c>
    </row>
    <row r="42" customFormat="false" ht="15" hidden="false" customHeight="true" outlineLevel="0" collapsed="false">
      <c r="A42" s="15" t="s">
        <v>74</v>
      </c>
      <c r="B42" s="16"/>
      <c r="C42" s="16"/>
      <c r="D42" s="16"/>
      <c r="E42" s="16"/>
    </row>
    <row r="43" customFormat="false" ht="15" hidden="false" customHeight="true" outlineLevel="0" collapsed="false">
      <c r="A43" s="7" t="s">
        <v>75</v>
      </c>
      <c r="C43" s="22" t="n">
        <v>0.225</v>
      </c>
      <c r="D43" s="14" t="s">
        <v>76</v>
      </c>
    </row>
    <row r="44" customFormat="false" ht="15" hidden="false" customHeight="true" outlineLevel="0" collapsed="false">
      <c r="A44" s="7" t="s">
        <v>77</v>
      </c>
      <c r="C44" s="22" t="n">
        <v>0.22</v>
      </c>
    </row>
  </sheetData>
  <mergeCells count="1">
    <mergeCell ref="A1:E1"/>
  </mergeCells>
  <dataValidations count="1">
    <dataValidation allowBlank="false" errorStyle="stop" operator="between" showDropDown="false" showErrorMessage="true" showInputMessage="false" sqref="C4" type="whole">
      <formula1>1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8"/>
    <col collapsed="false" customWidth="true" hidden="false" outlineLevel="0" max="2" min="2" style="1" width="2"/>
    <col collapsed="false" customWidth="true" hidden="false" outlineLevel="0" max="8" min="3" style="1" width="14"/>
  </cols>
  <sheetData>
    <row r="1" customFormat="false" ht="16.5" hidden="false" customHeight="true" outlineLevel="0" collapsed="false">
      <c r="A1" s="2" t="s">
        <v>78</v>
      </c>
      <c r="B1" s="2"/>
      <c r="C1" s="2"/>
      <c r="D1" s="2"/>
      <c r="E1" s="2"/>
      <c r="F1" s="2"/>
      <c r="G1" s="2"/>
      <c r="H1" s="2"/>
    </row>
    <row r="3" customFormat="false" ht="15" hidden="false" customHeight="true" outlineLevel="0" collapsed="false">
      <c r="A3" s="15" t="s">
        <v>79</v>
      </c>
      <c r="B3" s="16"/>
      <c r="C3" s="23" t="s">
        <v>80</v>
      </c>
      <c r="D3" s="23" t="s">
        <v>81</v>
      </c>
      <c r="E3" s="23" t="s">
        <v>82</v>
      </c>
      <c r="F3" s="23" t="s">
        <v>83</v>
      </c>
      <c r="G3" s="23" t="s">
        <v>84</v>
      </c>
      <c r="H3" s="23" t="s">
        <v>85</v>
      </c>
    </row>
    <row r="5" customFormat="false" ht="15" hidden="false" customHeight="true" outlineLevel="0" collapsed="false">
      <c r="A5" s="7" t="s">
        <v>86</v>
      </c>
      <c r="D5" s="24" t="n">
        <f aca="false">Inputs!$C$14*Inputs!$C$16*Inputs!$C$10</f>
        <v>55991</v>
      </c>
      <c r="E5" s="24" t="n">
        <f aca="false">D5*(1+Inputs!$C$17)</f>
        <v>57670.73</v>
      </c>
      <c r="F5" s="24" t="n">
        <f aca="false">E5*(1+Inputs!$C$17)</f>
        <v>59400.8519</v>
      </c>
      <c r="G5" s="24" t="n">
        <f aca="false">F5*(1+Inputs!$C$17)</f>
        <v>61182.877457</v>
      </c>
      <c r="H5" s="24" t="n">
        <f aca="false">G5*(1+Inputs!$C$17)</f>
        <v>63018.36378071</v>
      </c>
    </row>
    <row r="6" customFormat="false" ht="15" hidden="false" customHeight="true" outlineLevel="0" collapsed="false">
      <c r="A6" s="7" t="s">
        <v>87</v>
      </c>
      <c r="D6" s="25" t="n">
        <f aca="false">Inputs!$C$15*Inputs!$C$11</f>
        <v>15</v>
      </c>
      <c r="E6" s="25" t="n">
        <f aca="false">D6*(1+Inputs!$C$18)</f>
        <v>16.2</v>
      </c>
      <c r="F6" s="25" t="n">
        <f aca="false">E6*(1+Inputs!$C$18)</f>
        <v>17.496</v>
      </c>
      <c r="G6" s="25" t="n">
        <f aca="false">F6*(1+Inputs!$C$18)</f>
        <v>18.89568</v>
      </c>
      <c r="H6" s="25" t="n">
        <f aca="false">G6*(1+Inputs!$C$18)</f>
        <v>20.4073344</v>
      </c>
    </row>
    <row r="7" customFormat="false" ht="15" hidden="false" customHeight="true" outlineLevel="0" collapsed="false">
      <c r="A7" s="17" t="s">
        <v>46</v>
      </c>
      <c r="C7" s="26"/>
      <c r="D7" s="27" t="n">
        <f aca="false">D5*D6</f>
        <v>839865</v>
      </c>
      <c r="E7" s="27" t="n">
        <f aca="false">E5*E6</f>
        <v>934265.826</v>
      </c>
      <c r="F7" s="27" t="n">
        <f aca="false">F5*F6</f>
        <v>1039277.3048424</v>
      </c>
      <c r="G7" s="27" t="n">
        <f aca="false">G5*G6</f>
        <v>1156092.07390669</v>
      </c>
      <c r="H7" s="27" t="n">
        <f aca="false">H5*H6</f>
        <v>1286036.8230138</v>
      </c>
    </row>
    <row r="8" customFormat="false" ht="15" hidden="false" customHeight="true" outlineLevel="0" collapsed="false">
      <c r="A8" s="7" t="s">
        <v>88</v>
      </c>
      <c r="D8" s="24" t="n">
        <f aca="false">-D7*Inputs!$C$21</f>
        <v>-277155.45</v>
      </c>
      <c r="E8" s="24" t="n">
        <f aca="false">-E7*Inputs!$C$21</f>
        <v>-308307.72258</v>
      </c>
      <c r="F8" s="24" t="n">
        <f aca="false">-F7*Inputs!$C$21</f>
        <v>-342961.510597992</v>
      </c>
      <c r="G8" s="24" t="n">
        <f aca="false">-G7*Inputs!$C$21</f>
        <v>-381510.384389207</v>
      </c>
      <c r="H8" s="24" t="n">
        <f aca="false">-H7*Inputs!$C$21</f>
        <v>-424392.151594553</v>
      </c>
    </row>
    <row r="9" customFormat="false" ht="15" hidden="false" customHeight="true" outlineLevel="0" collapsed="false">
      <c r="A9" s="17" t="s">
        <v>89</v>
      </c>
      <c r="C9" s="26"/>
      <c r="D9" s="27" t="n">
        <f aca="false">D7+D8</f>
        <v>562709.55</v>
      </c>
      <c r="E9" s="27" t="n">
        <f aca="false">E7+E8</f>
        <v>625958.10342</v>
      </c>
      <c r="F9" s="27" t="n">
        <f aca="false">F7+F8</f>
        <v>696315.794244408</v>
      </c>
      <c r="G9" s="27" t="n">
        <f aca="false">G7+G8</f>
        <v>774581.68951748</v>
      </c>
      <c r="H9" s="27" t="n">
        <f aca="false">H7+H8</f>
        <v>861644.671419244</v>
      </c>
    </row>
    <row r="10" customFormat="false" ht="15" hidden="false" customHeight="true" outlineLevel="0" collapsed="false">
      <c r="A10" s="7" t="s">
        <v>90</v>
      </c>
      <c r="D10" s="24" t="n">
        <f aca="false">-Inputs!$C$27</f>
        <v>-222000</v>
      </c>
      <c r="E10" s="24" t="n">
        <f aca="false">D10*(1+Inputs!$C$28)</f>
        <v>-248640</v>
      </c>
      <c r="F10" s="24" t="n">
        <f aca="false">E10*(1+Inputs!$C$28)</f>
        <v>-278476.8</v>
      </c>
      <c r="G10" s="24" t="n">
        <f aca="false">F10*(1+Inputs!$C$28)</f>
        <v>-311894.016</v>
      </c>
      <c r="H10" s="24" t="n">
        <f aca="false">G10*(1+Inputs!$C$28)</f>
        <v>-349321.29792</v>
      </c>
    </row>
    <row r="11" customFormat="false" ht="15" hidden="false" customHeight="true" outlineLevel="0" collapsed="false">
      <c r="A11" s="17" t="s">
        <v>91</v>
      </c>
      <c r="C11" s="26"/>
      <c r="D11" s="27" t="n">
        <f aca="false">D9+D10</f>
        <v>340709.55</v>
      </c>
      <c r="E11" s="27" t="n">
        <f aca="false">E9+E10</f>
        <v>377318.10342</v>
      </c>
      <c r="F11" s="27" t="n">
        <f aca="false">F9+F10</f>
        <v>417838.994244408</v>
      </c>
      <c r="G11" s="27" t="n">
        <f aca="false">G9+G10</f>
        <v>462687.67351748</v>
      </c>
      <c r="H11" s="27" t="n">
        <f aca="false">H9+H10</f>
        <v>512323.373499244</v>
      </c>
    </row>
    <row r="12" customFormat="false" ht="15" hidden="false" customHeight="true" outlineLevel="0" collapsed="false">
      <c r="A12" s="7" t="s">
        <v>92</v>
      </c>
      <c r="D12" s="24" t="n">
        <f aca="false">IF(1&lt;=Inputs!$C$37,-Inputs!$C$35/Inputs!$C$37,0)</f>
        <v>-180000</v>
      </c>
      <c r="E12" s="24" t="n">
        <f aca="false">IF(2&lt;=Inputs!$C$37,-Inputs!$C$35/Inputs!$C$37,0)</f>
        <v>-180000</v>
      </c>
      <c r="F12" s="24" t="n">
        <f aca="false">IF(3&lt;=Inputs!$C$37,-Inputs!$C$35/Inputs!$C$37,0)</f>
        <v>-180000</v>
      </c>
      <c r="G12" s="24" t="n">
        <f aca="false">IF(4&lt;=Inputs!$C$37,-Inputs!$C$35/Inputs!$C$37,0)</f>
        <v>-180000</v>
      </c>
      <c r="H12" s="24" t="n">
        <f aca="false">IF(5&lt;=Inputs!$C$37,-Inputs!$C$35/Inputs!$C$37,0)</f>
        <v>-180000</v>
      </c>
    </row>
    <row r="13" customFormat="false" ht="15" hidden="false" customHeight="true" outlineLevel="0" collapsed="false">
      <c r="A13" s="17" t="s">
        <v>93</v>
      </c>
      <c r="C13" s="26"/>
      <c r="D13" s="27" t="n">
        <f aca="false">D11+D12</f>
        <v>160709.55</v>
      </c>
      <c r="E13" s="27" t="n">
        <f aca="false">E11+E12</f>
        <v>197318.10342</v>
      </c>
      <c r="F13" s="27" t="n">
        <f aca="false">F11+F12</f>
        <v>237838.994244408</v>
      </c>
      <c r="G13" s="27" t="n">
        <f aca="false">G11+G12</f>
        <v>282687.67351748</v>
      </c>
      <c r="H13" s="27" t="n">
        <f aca="false">H11+H12</f>
        <v>332323.373499244</v>
      </c>
    </row>
    <row r="15" customFormat="false" ht="15" hidden="false" customHeight="true" outlineLevel="0" collapsed="false">
      <c r="A15" s="17" t="s">
        <v>94</v>
      </c>
    </row>
    <row r="16" customFormat="false" ht="15" hidden="false" customHeight="true" outlineLevel="0" collapsed="false">
      <c r="A16" s="7" t="s">
        <v>95</v>
      </c>
      <c r="D16" s="24" t="n">
        <f aca="false">Inputs!$C$35*Inputs!$C$38</f>
        <v>0</v>
      </c>
      <c r="E16" s="24" t="n">
        <f aca="false">D19</f>
        <v>0</v>
      </c>
      <c r="F16" s="24" t="n">
        <f aca="false">E19</f>
        <v>0</v>
      </c>
      <c r="G16" s="24" t="n">
        <f aca="false">F19</f>
        <v>0</v>
      </c>
      <c r="H16" s="24" t="n">
        <f aca="false">G19</f>
        <v>0</v>
      </c>
    </row>
    <row r="17" customFormat="false" ht="15" hidden="false" customHeight="true" outlineLevel="0" collapsed="false">
      <c r="A17" s="7" t="s">
        <v>96</v>
      </c>
      <c r="D17" s="24" t="n">
        <f aca="false">IF(1&lt;=MIN(Inputs!$C$40,5),-Inputs!$C$35*Inputs!$C$38/MIN(Inputs!$C$40,5),0)</f>
        <v>-0</v>
      </c>
      <c r="E17" s="24" t="n">
        <f aca="false">IF(2&lt;=MIN(Inputs!$C$40,5),-Inputs!$C$35*Inputs!$C$38/MIN(Inputs!$C$40,5),0)</f>
        <v>-0</v>
      </c>
      <c r="F17" s="24" t="n">
        <f aca="false">IF(3&lt;=MIN(Inputs!$C$40,5),-Inputs!$C$35*Inputs!$C$38/MIN(Inputs!$C$40,5),0)</f>
        <v>-0</v>
      </c>
      <c r="G17" s="24" t="n">
        <f aca="false">IF(4&lt;=MIN(Inputs!$C$40,5),-Inputs!$C$35*Inputs!$C$38/MIN(Inputs!$C$40,5),0)</f>
        <v>-0</v>
      </c>
      <c r="H17" s="24" t="n">
        <f aca="false">IF(5&lt;=MIN(Inputs!$C$40,5),-Inputs!$C$35*Inputs!$C$38/MIN(Inputs!$C$40,5),0)</f>
        <v>-0</v>
      </c>
    </row>
    <row r="18" customFormat="false" ht="15" hidden="false" customHeight="true" outlineLevel="0" collapsed="false">
      <c r="A18" s="7" t="s">
        <v>97</v>
      </c>
      <c r="D18" s="24" t="n">
        <f aca="false">-D16*Inputs!$C$39</f>
        <v>-0</v>
      </c>
      <c r="E18" s="24" t="n">
        <f aca="false">-E16*Inputs!$C$39</f>
        <v>-0</v>
      </c>
      <c r="F18" s="24" t="n">
        <f aca="false">-F16*Inputs!$C$39</f>
        <v>-0</v>
      </c>
      <c r="G18" s="24" t="n">
        <f aca="false">-G16*Inputs!$C$39</f>
        <v>-0</v>
      </c>
      <c r="H18" s="24" t="n">
        <f aca="false">-H16*Inputs!$C$39</f>
        <v>-0</v>
      </c>
    </row>
    <row r="19" customFormat="false" ht="15" hidden="false" customHeight="true" outlineLevel="0" collapsed="false">
      <c r="A19" s="7" t="s">
        <v>98</v>
      </c>
      <c r="D19" s="24" t="n">
        <f aca="false">D16+D17</f>
        <v>0</v>
      </c>
      <c r="E19" s="24" t="n">
        <f aca="false">E16+E17</f>
        <v>0</v>
      </c>
      <c r="F19" s="24" t="n">
        <f aca="false">F16+F17</f>
        <v>0</v>
      </c>
      <c r="G19" s="24" t="n">
        <f aca="false">G16+G17</f>
        <v>0</v>
      </c>
      <c r="H19" s="24" t="n">
        <f aca="false">H16+H17</f>
        <v>0</v>
      </c>
    </row>
    <row r="21" customFormat="false" ht="15" hidden="false" customHeight="true" outlineLevel="0" collapsed="false">
      <c r="A21" s="17" t="s">
        <v>99</v>
      </c>
      <c r="C21" s="26"/>
      <c r="D21" s="27" t="n">
        <f aca="false">D13+D18</f>
        <v>160709.55</v>
      </c>
      <c r="E21" s="27" t="n">
        <f aca="false">E13+E18</f>
        <v>197318.10342</v>
      </c>
      <c r="F21" s="27" t="n">
        <f aca="false">F13+F18</f>
        <v>237838.994244408</v>
      </c>
      <c r="G21" s="27" t="n">
        <f aca="false">G13+G18</f>
        <v>282687.67351748</v>
      </c>
      <c r="H21" s="27" t="n">
        <f aca="false">H13+H18</f>
        <v>332323.373499244</v>
      </c>
    </row>
    <row r="22" customFormat="false" ht="15" hidden="false" customHeight="true" outlineLevel="0" collapsed="false">
      <c r="A22" s="7" t="s">
        <v>100</v>
      </c>
      <c r="D22" s="24" t="n">
        <f aca="false">-MAX(0,D21)*Inputs!$C$43</f>
        <v>-36159.64875</v>
      </c>
      <c r="E22" s="24" t="n">
        <f aca="false">-MAX(0,E21)*Inputs!$C$43</f>
        <v>-44396.5732695</v>
      </c>
      <c r="F22" s="24" t="n">
        <f aca="false">-MAX(0,F21)*Inputs!$C$43</f>
        <v>-53513.7737049918</v>
      </c>
      <c r="G22" s="24" t="n">
        <f aca="false">-MAX(0,G21)*Inputs!$C$43</f>
        <v>-63604.7265414329</v>
      </c>
      <c r="H22" s="24" t="n">
        <f aca="false">-MAX(0,H21)*Inputs!$C$43</f>
        <v>-74772.75903733</v>
      </c>
    </row>
    <row r="23" customFormat="false" ht="15" hidden="false" customHeight="true" outlineLevel="0" collapsed="false">
      <c r="A23" s="17" t="s">
        <v>101</v>
      </c>
      <c r="C23" s="26"/>
      <c r="D23" s="27" t="n">
        <f aca="false">D21+D22</f>
        <v>124549.90125</v>
      </c>
      <c r="E23" s="27" t="n">
        <f aca="false">E21+E22</f>
        <v>152921.5301505</v>
      </c>
      <c r="F23" s="27" t="n">
        <f aca="false">F21+F22</f>
        <v>184325.220539416</v>
      </c>
      <c r="G23" s="27" t="n">
        <f aca="false">G21+G22</f>
        <v>219082.946976047</v>
      </c>
      <c r="H23" s="27" t="n">
        <f aca="false">H21+H22</f>
        <v>257550.614461914</v>
      </c>
    </row>
    <row r="24" customFormat="false" ht="15" hidden="false" customHeight="true" outlineLevel="0" collapsed="false">
      <c r="A24" s="7" t="s">
        <v>102</v>
      </c>
      <c r="D24" s="28" t="n">
        <f aca="false">IF(D7=0,0,D23/D7)</f>
        <v>0.148297525495169</v>
      </c>
      <c r="E24" s="28" t="n">
        <f aca="false">IF(E7=0,0,E23/E7)</f>
        <v>0.163680963056547</v>
      </c>
      <c r="F24" s="28" t="n">
        <f aca="false">IF(F7=0,0,F23/F7)</f>
        <v>0.177359035630407</v>
      </c>
      <c r="G24" s="28" t="n">
        <f aca="false">IF(G7=0,0,G23/G7)</f>
        <v>0.189503026550228</v>
      </c>
      <c r="H24" s="28" t="n">
        <f aca="false">IF(H7=0,0,H23/H7)</f>
        <v>0.200266905156223</v>
      </c>
    </row>
    <row r="26" customFormat="false" ht="15" hidden="false" customHeight="true" outlineLevel="0" collapsed="false">
      <c r="A26" s="17" t="s">
        <v>103</v>
      </c>
    </row>
    <row r="27" customFormat="false" ht="15" hidden="false" customHeight="true" outlineLevel="0" collapsed="false">
      <c r="A27" s="7" t="s">
        <v>91</v>
      </c>
      <c r="C27" s="24" t="n">
        <f aca="false">0</f>
        <v>0</v>
      </c>
      <c r="D27" s="24" t="n">
        <f aca="false">D11</f>
        <v>340709.55</v>
      </c>
      <c r="E27" s="24" t="n">
        <f aca="false">E11</f>
        <v>377318.10342</v>
      </c>
      <c r="F27" s="24" t="n">
        <f aca="false">F11</f>
        <v>417838.994244408</v>
      </c>
      <c r="G27" s="24" t="n">
        <f aca="false">G11</f>
        <v>462687.67351748</v>
      </c>
      <c r="H27" s="24" t="n">
        <f aca="false">H11</f>
        <v>512323.373499244</v>
      </c>
    </row>
    <row r="28" customFormat="false" ht="15" hidden="false" customHeight="true" outlineLevel="0" collapsed="false">
      <c r="A28" s="7" t="s">
        <v>104</v>
      </c>
      <c r="C28" s="24" t="n">
        <f aca="false">0</f>
        <v>0</v>
      </c>
      <c r="D28" s="24" t="n">
        <f aca="false">-MAX(0,D13)*Inputs!$C$43</f>
        <v>-36159.64875</v>
      </c>
      <c r="E28" s="24" t="n">
        <f aca="false">-MAX(0,E13)*Inputs!$C$43</f>
        <v>-44396.5732695</v>
      </c>
      <c r="F28" s="24" t="n">
        <f aca="false">-MAX(0,F13)*Inputs!$C$43</f>
        <v>-53513.7737049918</v>
      </c>
      <c r="G28" s="24" t="n">
        <f aca="false">-MAX(0,G13)*Inputs!$C$43</f>
        <v>-63604.7265414329</v>
      </c>
      <c r="H28" s="24" t="n">
        <f aca="false">-MAX(0,H13)*Inputs!$C$43</f>
        <v>-74772.75903733</v>
      </c>
    </row>
    <row r="29" customFormat="false" ht="15" hidden="false" customHeight="true" outlineLevel="0" collapsed="false">
      <c r="A29" s="7" t="s">
        <v>21</v>
      </c>
      <c r="C29" s="24" t="n">
        <f aca="false">-Inputs!$C$35</f>
        <v>-900000</v>
      </c>
      <c r="D29" s="24" t="n">
        <f aca="false">0</f>
        <v>0</v>
      </c>
      <c r="E29" s="24" t="n">
        <f aca="false">0</f>
        <v>0</v>
      </c>
      <c r="F29" s="24" t="n">
        <f aca="false">0</f>
        <v>0</v>
      </c>
      <c r="G29" s="24" t="n">
        <f aca="false">0</f>
        <v>0</v>
      </c>
      <c r="H29" s="24" t="n">
        <f aca="false">0</f>
        <v>0</v>
      </c>
    </row>
    <row r="30" customFormat="false" ht="15" hidden="false" customHeight="true" outlineLevel="0" collapsed="false">
      <c r="A30" s="7" t="s">
        <v>105</v>
      </c>
      <c r="C30" s="24" t="n">
        <f aca="false">0</f>
        <v>0</v>
      </c>
      <c r="D30" s="24" t="n">
        <f aca="false">-D7*Inputs!$C$36</f>
        <v>-41993.25</v>
      </c>
      <c r="E30" s="24" t="n">
        <f aca="false">-(E7*Inputs!$C$36-D7*Inputs!$C$36)</f>
        <v>-4720.04130000001</v>
      </c>
      <c r="F30" s="24" t="n">
        <f aca="false">-(F7*Inputs!$C$36-E7*Inputs!$C$36)</f>
        <v>-5250.57394212001</v>
      </c>
      <c r="G30" s="24" t="n">
        <f aca="false">-(G7*Inputs!$C$36-F7*Inputs!$C$36)</f>
        <v>-5840.73845321429</v>
      </c>
      <c r="H30" s="24" t="n">
        <f aca="false">-(H7*Inputs!$C$36-G7*Inputs!$C$36)</f>
        <v>-6497.23745535557</v>
      </c>
    </row>
    <row r="31" customFormat="false" ht="15" hidden="false" customHeight="true" outlineLevel="0" collapsed="false">
      <c r="A31" s="17" t="s">
        <v>106</v>
      </c>
      <c r="C31" s="27" t="n">
        <f aca="false">SUM(C27:C30)</f>
        <v>-900000</v>
      </c>
      <c r="D31" s="27" t="n">
        <f aca="false">SUM(D27:D30)</f>
        <v>262556.65125</v>
      </c>
      <c r="E31" s="27" t="n">
        <f aca="false">SUM(E27:E30)</f>
        <v>328201.4888505</v>
      </c>
      <c r="F31" s="27" t="n">
        <f aca="false">SUM(F27:F30)</f>
        <v>359074.646597296</v>
      </c>
      <c r="G31" s="27" t="n">
        <f aca="false">SUM(G27:G30)</f>
        <v>393242.208522832</v>
      </c>
      <c r="H31" s="27" t="n">
        <f aca="false">SUM(H27:H30)</f>
        <v>431053.377006559</v>
      </c>
    </row>
    <row r="32" customFormat="false" ht="15" hidden="false" customHeight="true" outlineLevel="0" collapsed="false">
      <c r="A32" s="7" t="s">
        <v>107</v>
      </c>
      <c r="C32" s="29" t="n">
        <f aca="false">C31</f>
        <v>-900000</v>
      </c>
      <c r="D32" s="24" t="n">
        <f aca="false">C32+D31</f>
        <v>-637443.34875</v>
      </c>
      <c r="E32" s="24" t="n">
        <f aca="false">D32+E31</f>
        <v>-309241.8598995</v>
      </c>
      <c r="F32" s="24" t="n">
        <f aca="false">E32+F31</f>
        <v>49832.7866977965</v>
      </c>
      <c r="G32" s="24" t="n">
        <f aca="false">F32+G31</f>
        <v>443074.995220629</v>
      </c>
      <c r="H32" s="24" t="n">
        <f aca="false">G32+H31</f>
        <v>874128.372227188</v>
      </c>
    </row>
    <row r="34" customFormat="false" ht="15" hidden="false" customHeight="true" outlineLevel="0" collapsed="false">
      <c r="A34" s="17" t="s">
        <v>108</v>
      </c>
    </row>
    <row r="35" customFormat="false" ht="15" hidden="false" customHeight="true" outlineLevel="0" collapsed="false">
      <c r="A35" s="7" t="s">
        <v>109</v>
      </c>
      <c r="D35" s="24" t="n">
        <f aca="false">D23-D12</f>
        <v>304549.90125</v>
      </c>
      <c r="E35" s="24" t="n">
        <f aca="false">E23-E12</f>
        <v>332921.5301505</v>
      </c>
      <c r="F35" s="24" t="n">
        <f aca="false">F23-F12</f>
        <v>364325.220539416</v>
      </c>
      <c r="G35" s="24" t="n">
        <f aca="false">G23-G12</f>
        <v>399082.946976047</v>
      </c>
      <c r="H35" s="24" t="n">
        <f aca="false">H23-H12</f>
        <v>437550.614461914</v>
      </c>
    </row>
    <row r="36" customFormat="false" ht="15" hidden="false" customHeight="true" outlineLevel="0" collapsed="false">
      <c r="A36" s="7" t="s">
        <v>110</v>
      </c>
      <c r="D36" s="24" t="n">
        <f aca="false">D17</f>
        <v>-0</v>
      </c>
      <c r="E36" s="24" t="n">
        <f aca="false">E17</f>
        <v>-0</v>
      </c>
      <c r="F36" s="24" t="n">
        <f aca="false">F17</f>
        <v>-0</v>
      </c>
      <c r="G36" s="24" t="n">
        <f aca="false">G17</f>
        <v>-0</v>
      </c>
      <c r="H36" s="24" t="n">
        <f aca="false">H17</f>
        <v>-0</v>
      </c>
    </row>
    <row r="37" customFormat="false" ht="15" hidden="false" customHeight="true" outlineLevel="0" collapsed="false">
      <c r="A37" s="17" t="s">
        <v>111</v>
      </c>
      <c r="C37" s="27" t="n">
        <f aca="false">-Inputs!$C$35*(1-Inputs!$C$38)</f>
        <v>-900000</v>
      </c>
      <c r="D37" s="27" t="n">
        <f aca="false">D35+D36+D30</f>
        <v>262556.65125</v>
      </c>
      <c r="E37" s="27" t="n">
        <f aca="false">E35+E36+E30</f>
        <v>328201.4888505</v>
      </c>
      <c r="F37" s="27" t="n">
        <f aca="false">F35+F36+F30</f>
        <v>359074.646597296</v>
      </c>
      <c r="G37" s="27" t="n">
        <f aca="false">G35+G36+G30</f>
        <v>393242.208522832</v>
      </c>
      <c r="H37" s="27" t="n">
        <f aca="false">H35+H36+H30</f>
        <v>431053.377006559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2026-09-25T05:03:00Z</dcterms:created>
  <dc:creator>Masarat</dc:creator>
  <dc:description/>
  <dc:language>en-US</dc:language>
  <cp:lastModifiedBy/>
  <dcterms:modified xsi:type="dcterms:W3CDTF">2026-09-25T10:26:44Z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